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8195" windowHeight="90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6" i="1" l="1"/>
  <c r="B27" i="1" s="1"/>
  <c r="B17" i="1"/>
  <c r="B23" i="1"/>
  <c r="D33" i="1"/>
  <c r="H20" i="1" l="1"/>
  <c r="I20" i="1" s="1"/>
  <c r="H19" i="1"/>
  <c r="I19" i="1" s="1"/>
  <c r="H17" i="1"/>
  <c r="I17" i="1" s="1"/>
  <c r="H15" i="1"/>
  <c r="I15" i="1" s="1"/>
  <c r="H16" i="1"/>
  <c r="I16" i="1" s="1"/>
  <c r="B14" i="1" l="1"/>
  <c r="B13" i="1"/>
  <c r="B18" i="1"/>
  <c r="B15" i="1" l="1"/>
  <c r="B19" i="1"/>
  <c r="B20" i="1" s="1"/>
  <c r="B16" i="1" l="1"/>
  <c r="B22" i="1" s="1"/>
  <c r="B24" i="1" l="1"/>
  <c r="B21" i="1"/>
  <c r="B28" i="1" s="1"/>
  <c r="B30" i="1"/>
  <c r="B25" i="1" l="1"/>
  <c r="B4" i="1" s="1"/>
  <c r="H18" i="1" s="1"/>
  <c r="I18" i="1" l="1"/>
  <c r="D6" i="1" s="1"/>
  <c r="A6" i="1" l="1"/>
</calcChain>
</file>

<file path=xl/sharedStrings.xml><?xml version="1.0" encoding="utf-8"?>
<sst xmlns="http://schemas.openxmlformats.org/spreadsheetml/2006/main" count="63" uniqueCount="62">
  <si>
    <t>ROI width</t>
  </si>
  <si>
    <t>ROI height</t>
  </si>
  <si>
    <t>H Binning</t>
  </si>
  <si>
    <t>V Binning</t>
  </si>
  <si>
    <t>CXP lanes</t>
  </si>
  <si>
    <t>Link speed</t>
  </si>
  <si>
    <t>Frame rate:</t>
  </si>
  <si>
    <t>A</t>
  </si>
  <si>
    <t>B</t>
  </si>
  <si>
    <t>C</t>
  </si>
  <si>
    <t>FOT</t>
  </si>
  <si>
    <t>Line Time</t>
  </si>
  <si>
    <t>10-bit sensor readout = 128, otherwise 244</t>
  </si>
  <si>
    <t>1/{Line Time x ((FOT + height_c)/2)}</t>
  </si>
  <si>
    <t>CXP-6 = 156250000, CXP-3 = 78125000</t>
  </si>
  <si>
    <t>SP-12000-CXP4 ROI Frame Rate Calculator</t>
  </si>
  <si>
    <t>Error Checking (do not edit)</t>
  </si>
  <si>
    <t>Bit depth not allowed</t>
  </si>
  <si>
    <t>Frame rate exceeds max</t>
  </si>
  <si>
    <t>Width step not allowed</t>
  </si>
  <si>
    <t>Height step not allowed</t>
  </si>
  <si>
    <t>Width too large/small</t>
  </si>
  <si>
    <t>Height too large/small</t>
  </si>
  <si>
    <t xml:space="preserve">          1=off, 2=on</t>
  </si>
  <si>
    <t xml:space="preserve">          10, or 12 (bits)</t>
  </si>
  <si>
    <t xml:space="preserve">          8, 10, or 12 (bits) - 12-bit output only in IP Bypass mode</t>
  </si>
  <si>
    <t xml:space="preserve">          6 or 3  (CXP-6, CXP-3)</t>
  </si>
  <si>
    <t xml:space="preserve">          1, 2 or 4</t>
  </si>
  <si>
    <t>Set width and height to number of pixels in output (AFTER any binning). If binning is on, maximum allowed values are halved.</t>
  </si>
  <si>
    <t xml:space="preserve">PIV Interframe </t>
  </si>
  <si>
    <t>14 * Line Time - .000003 (10-bit sensor) or 9 * Line Time - .000003 (12-bit sensor)</t>
  </si>
  <si>
    <t>Sensor_Width</t>
  </si>
  <si>
    <t>Sensor_Height</t>
  </si>
  <si>
    <t>CXP_clocks</t>
  </si>
  <si>
    <t>CXP_Clock_Hz</t>
  </si>
  <si>
    <t>Sensor reso</t>
  </si>
  <si>
    <t>Sensor_Clock</t>
  </si>
  <si>
    <t>10-bit sensor reso = 400000000, 12-bit reso = 600000000</t>
  </si>
  <si>
    <t>ParamX</t>
  </si>
  <si>
    <t>ParamY</t>
  </si>
  <si>
    <t>10-bit sensor readout = 12, otherwise 7</t>
  </si>
  <si>
    <t>Line_Time x (ParamY + 2)</t>
  </si>
  <si>
    <t>Readout_Time</t>
  </si>
  <si>
    <t>Line_Time x Sensor_Height/2</t>
  </si>
  <si>
    <t>Camera_FR</t>
  </si>
  <si>
    <t>1/(FOT + Readout_Time)</t>
  </si>
  <si>
    <t>Packet size</t>
  </si>
  <si>
    <t xml:space="preserve">          16 to 4096</t>
  </si>
  <si>
    <t>(26 + (((Packet_Size/4)+13) x B))/CXP Lanes</t>
  </si>
  <si>
    <t>FR_for_CXP_Packet</t>
  </si>
  <si>
    <t>CXP_Clock_MHz</t>
  </si>
  <si>
    <t>1/(C/((CXP_Clock_MHz) x (1 - 0.026) x 1000000)) + FOT</t>
  </si>
  <si>
    <t>Digital bit depth</t>
  </si>
  <si>
    <t>((2 x ROI height) + (ROI width x (Digital bit depth/8) x ROI Height/4))/(Packet_Size/4)</t>
  </si>
  <si>
    <t>((Sensor_Width/16)x(Digital bits/8)+9)x(4/CXP lanes)</t>
  </si>
  <si>
    <t>(A+1)x(1/Sensor_Clock)x(Sensor reso)</t>
  </si>
  <si>
    <t xml:space="preserve">          128 to 4096 (16-pixel increments), 64 to 2048 for H binning (mono).</t>
  </si>
  <si>
    <t>ROI width x H Binning</t>
  </si>
  <si>
    <t>ROI height X V Binning</t>
  </si>
  <si>
    <t>MAX (Roundup((2xCXP_clocks)x(1/CXP_Clock_Hz)x(Sensor clock/Sensor reso)-1,0), ParamX)</t>
  </si>
  <si>
    <t>Revised: 29 September 2016</t>
  </si>
  <si>
    <t xml:space="preserve">          16 to 3072  (2-line increments), 8 to 1536 for V binning (mono). For multi-ROI, use sum of lines from all ROIs.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</si>
</sst>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1" fontId="0" fillId="0" borderId="0" xfId="0" applyNumberFormat="1"/>
    <xf numFmtId="0" fontId="3" fillId="0" borderId="0" xfId="0" applyFont="1"/>
    <xf numFmtId="0" fontId="2" fillId="0" borderId="0" xfId="0" applyFont="1"/>
    <xf numFmtId="0" fontId="2" fillId="2" borderId="0" xfId="0" applyFont="1" applyFill="1"/>
    <xf numFmtId="0" fontId="4" fillId="0" borderId="0" xfId="0" applyFont="1" applyAlignment="1">
      <alignment vertical="center"/>
    </xf>
    <xf numFmtId="0" fontId="2" fillId="3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 applyBorder="1"/>
    <xf numFmtId="0" fontId="0" fillId="3" borderId="5" xfId="0" applyFont="1" applyFill="1" applyBorder="1" applyAlignment="1"/>
    <xf numFmtId="0" fontId="0" fillId="3" borderId="5" xfId="0" applyFont="1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ont="1" applyFill="1" applyBorder="1"/>
    <xf numFmtId="1" fontId="0" fillId="0" borderId="0" xfId="0" applyNumberFormat="1" applyAlignment="1">
      <alignment horizontal="right"/>
    </xf>
    <xf numFmtId="0" fontId="0" fillId="4" borderId="9" xfId="0" applyFill="1" applyBorder="1"/>
    <xf numFmtId="0" fontId="5" fillId="0" borderId="0" xfId="0" applyFont="1"/>
    <xf numFmtId="0" fontId="0" fillId="0" borderId="0" xfId="0" applyFont="1"/>
    <xf numFmtId="15" fontId="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topLeftCell="B1" workbookViewId="0">
      <selection activeCell="G6" sqref="G6"/>
    </sheetView>
  </sheetViews>
  <sheetFormatPr defaultRowHeight="15" x14ac:dyDescent="0.25"/>
  <cols>
    <col min="1" max="1" width="18.140625" customWidth="1"/>
    <col min="2" max="2" width="12.7109375" customWidth="1"/>
    <col min="3" max="3" width="3.140625" customWidth="1"/>
    <col min="4" max="4" width="40.85546875" customWidth="1"/>
    <col min="5" max="5" width="15.42578125" customWidth="1"/>
    <col min="7" max="7" width="23.28515625" customWidth="1"/>
    <col min="8" max="8" width="5.28515625" customWidth="1"/>
  </cols>
  <sheetData>
    <row r="1" spans="1:9" ht="33.75" customHeight="1" x14ac:dyDescent="0.25">
      <c r="A1" s="6" t="s">
        <v>15</v>
      </c>
    </row>
    <row r="2" spans="1:9" s="20" customFormat="1" ht="16.5" customHeight="1" x14ac:dyDescent="0.25">
      <c r="A2" s="21" t="s">
        <v>60</v>
      </c>
    </row>
    <row r="3" spans="1:9" x14ac:dyDescent="0.25">
      <c r="E3" t="s">
        <v>28</v>
      </c>
    </row>
    <row r="4" spans="1:9" x14ac:dyDescent="0.25">
      <c r="A4" s="4" t="s">
        <v>6</v>
      </c>
      <c r="B4" s="5">
        <f>ROUNDDOWN(MIN(B28,B25),0)</f>
        <v>189</v>
      </c>
      <c r="D4" t="s">
        <v>13</v>
      </c>
      <c r="E4" t="s">
        <v>0</v>
      </c>
      <c r="F4" s="18">
        <v>4096</v>
      </c>
      <c r="G4" t="s">
        <v>56</v>
      </c>
    </row>
    <row r="5" spans="1:9" x14ac:dyDescent="0.25">
      <c r="E5" t="s">
        <v>1</v>
      </c>
      <c r="F5" s="18">
        <v>3072</v>
      </c>
      <c r="G5" t="s">
        <v>61</v>
      </c>
    </row>
    <row r="6" spans="1:9" x14ac:dyDescent="0.25">
      <c r="A6" s="3" t="str">
        <f>IF(SUM(H15:H20)&gt;0,"Error(s):","")</f>
        <v/>
      </c>
      <c r="B6" s="1"/>
      <c r="D6" s="22" t="str">
        <f>IF(SUM(H15:H20)&gt;0,CONCATENATE(I15,I19,I16,I20,I17,I18),"")</f>
        <v/>
      </c>
      <c r="E6" t="s">
        <v>2</v>
      </c>
      <c r="F6" s="18">
        <v>1</v>
      </c>
      <c r="G6" t="s">
        <v>23</v>
      </c>
    </row>
    <row r="7" spans="1:9" x14ac:dyDescent="0.25">
      <c r="B7" s="1"/>
      <c r="D7" s="22"/>
      <c r="E7" t="s">
        <v>3</v>
      </c>
      <c r="F7" s="18">
        <v>1</v>
      </c>
      <c r="G7" t="s">
        <v>23</v>
      </c>
    </row>
    <row r="8" spans="1:9" x14ac:dyDescent="0.25">
      <c r="D8" s="22"/>
      <c r="E8" t="s">
        <v>35</v>
      </c>
      <c r="F8" s="18">
        <v>10</v>
      </c>
      <c r="G8" t="s">
        <v>24</v>
      </c>
    </row>
    <row r="9" spans="1:9" x14ac:dyDescent="0.25">
      <c r="D9" s="22"/>
      <c r="E9" t="s">
        <v>52</v>
      </c>
      <c r="F9" s="18">
        <v>8</v>
      </c>
      <c r="G9" t="s">
        <v>25</v>
      </c>
    </row>
    <row r="10" spans="1:9" x14ac:dyDescent="0.25">
      <c r="D10" s="22"/>
      <c r="E10" t="s">
        <v>5</v>
      </c>
      <c r="F10" s="18">
        <v>6</v>
      </c>
      <c r="G10" t="s">
        <v>26</v>
      </c>
    </row>
    <row r="11" spans="1:9" x14ac:dyDescent="0.25">
      <c r="D11" s="22"/>
      <c r="E11" t="s">
        <v>4</v>
      </c>
      <c r="F11" s="18">
        <v>4</v>
      </c>
      <c r="G11" t="s">
        <v>27</v>
      </c>
    </row>
    <row r="12" spans="1:9" x14ac:dyDescent="0.25">
      <c r="E12" t="s">
        <v>46</v>
      </c>
      <c r="F12" s="18">
        <v>4096</v>
      </c>
      <c r="G12" t="s">
        <v>47</v>
      </c>
    </row>
    <row r="13" spans="1:9" ht="15.75" thickBot="1" x14ac:dyDescent="0.3">
      <c r="A13" t="s">
        <v>31</v>
      </c>
      <c r="B13">
        <f>F4*F6</f>
        <v>4096</v>
      </c>
      <c r="D13" t="s">
        <v>57</v>
      </c>
    </row>
    <row r="14" spans="1:9" ht="15.75" thickTop="1" x14ac:dyDescent="0.25">
      <c r="A14" t="s">
        <v>32</v>
      </c>
      <c r="B14">
        <f>F5*F7</f>
        <v>3072</v>
      </c>
      <c r="D14" t="s">
        <v>58</v>
      </c>
      <c r="G14" s="7" t="s">
        <v>16</v>
      </c>
      <c r="H14" s="8"/>
      <c r="I14" s="9"/>
    </row>
    <row r="15" spans="1:9" x14ac:dyDescent="0.25">
      <c r="A15" t="s">
        <v>33</v>
      </c>
      <c r="B15">
        <f>((B13/16)*(F9/8)+9)*(4/F11)</f>
        <v>265</v>
      </c>
      <c r="D15" t="s">
        <v>54</v>
      </c>
      <c r="G15" s="10" t="s">
        <v>19</v>
      </c>
      <c r="H15" s="11">
        <f>IF(MOD(F4,16/F6)&gt;0,1,0)</f>
        <v>0</v>
      </c>
      <c r="I15" s="12" t="str">
        <f>IF(H15=1,"Width not divisible by 16 (8 if binning); ","")</f>
        <v/>
      </c>
    </row>
    <row r="16" spans="1:9" x14ac:dyDescent="0.25">
      <c r="A16" t="s">
        <v>7</v>
      </c>
      <c r="B16">
        <f>MAX(ROUNDUP((2*B15)*(1/B19)*(B23/F8)-1,0),B18)</f>
        <v>135</v>
      </c>
      <c r="D16" s="19" t="s">
        <v>59</v>
      </c>
      <c r="G16" s="10" t="s">
        <v>20</v>
      </c>
      <c r="H16" s="11">
        <f>IF(MOD(F5,2)&gt;0,1,0)</f>
        <v>0</v>
      </c>
      <c r="I16" s="12" t="str">
        <f>IF(H16=1,"Height not divisible by 2; ","")</f>
        <v/>
      </c>
    </row>
    <row r="17" spans="1:9" x14ac:dyDescent="0.25">
      <c r="A17" t="s">
        <v>39</v>
      </c>
      <c r="B17">
        <f>IF(F8=10,12,7)</f>
        <v>12</v>
      </c>
      <c r="D17" t="s">
        <v>40</v>
      </c>
      <c r="G17" s="10" t="s">
        <v>17</v>
      </c>
      <c r="H17" s="11">
        <f>IF(F8=10, IF(F9&gt;8,1,0),0)</f>
        <v>0</v>
      </c>
      <c r="I17" s="13" t="str">
        <f>IF(H17=1,"Bit depth not allowed in normal mode; ","")</f>
        <v/>
      </c>
    </row>
    <row r="18" spans="1:9" x14ac:dyDescent="0.25">
      <c r="A18" t="s">
        <v>38</v>
      </c>
      <c r="B18">
        <f>IF(F8=10,128,244)</f>
        <v>128</v>
      </c>
      <c r="D18" t="s">
        <v>12</v>
      </c>
      <c r="G18" s="10" t="s">
        <v>18</v>
      </c>
      <c r="H18" s="11">
        <f>IF(B4&gt;B28,1,0)</f>
        <v>0</v>
      </c>
      <c r="I18" s="13" t="str">
        <f>IF(H18=1,"Frame rate limited to MaxCXP_rate. ","")</f>
        <v/>
      </c>
    </row>
    <row r="19" spans="1:9" x14ac:dyDescent="0.25">
      <c r="A19" t="s">
        <v>34</v>
      </c>
      <c r="B19">
        <f>IF(F10=6,156250000,78125000)</f>
        <v>156250000</v>
      </c>
      <c r="D19" t="s">
        <v>14</v>
      </c>
      <c r="G19" s="10" t="s">
        <v>21</v>
      </c>
      <c r="H19" s="11">
        <f>IF(OR(F4&gt;4096/F6,F4&lt;128/F6),1,0)</f>
        <v>0</v>
      </c>
      <c r="I19" s="13" t="str">
        <f>IF(H19=1,"Width is out of allowed range; ","")</f>
        <v/>
      </c>
    </row>
    <row r="20" spans="1:9" ht="15.75" thickBot="1" x14ac:dyDescent="0.3">
      <c r="A20" t="s">
        <v>50</v>
      </c>
      <c r="B20">
        <f>B19/1000000</f>
        <v>156.25</v>
      </c>
      <c r="G20" s="14" t="s">
        <v>22</v>
      </c>
      <c r="H20" s="15">
        <f>IF(OR(F5&gt;3072/F7,F5&lt;16/F7),1,0)</f>
        <v>0</v>
      </c>
      <c r="I20" s="16" t="str">
        <f>IF(H20=1,"Height is out of allowed range; ","")</f>
        <v/>
      </c>
    </row>
    <row r="21" spans="1:9" ht="15.75" thickTop="1" x14ac:dyDescent="0.25">
      <c r="A21" t="s">
        <v>10</v>
      </c>
      <c r="B21">
        <f>B22*(B17+2)</f>
        <v>4.7600000000000005E-5</v>
      </c>
      <c r="D21" t="s">
        <v>41</v>
      </c>
    </row>
    <row r="22" spans="1:9" x14ac:dyDescent="0.25">
      <c r="A22" t="s">
        <v>11</v>
      </c>
      <c r="B22">
        <f>(B16+1)*(1/B23)*F8</f>
        <v>3.4000000000000005E-6</v>
      </c>
      <c r="D22" t="s">
        <v>55</v>
      </c>
    </row>
    <row r="23" spans="1:9" x14ac:dyDescent="0.25">
      <c r="A23" t="s">
        <v>36</v>
      </c>
      <c r="B23">
        <f>IF(F8=10,400000000,600000000)</f>
        <v>400000000</v>
      </c>
      <c r="D23" t="s">
        <v>37</v>
      </c>
    </row>
    <row r="24" spans="1:9" x14ac:dyDescent="0.25">
      <c r="A24" t="s">
        <v>42</v>
      </c>
      <c r="B24">
        <f>B22 * B14 / 2</f>
        <v>5.2224000000000003E-3</v>
      </c>
      <c r="D24" t="s">
        <v>43</v>
      </c>
    </row>
    <row r="25" spans="1:9" x14ac:dyDescent="0.25">
      <c r="A25" t="s">
        <v>44</v>
      </c>
      <c r="B25">
        <f>1/(B21+B24)</f>
        <v>189.75332068311195</v>
      </c>
      <c r="D25" t="s">
        <v>45</v>
      </c>
    </row>
    <row r="26" spans="1:9" x14ac:dyDescent="0.25">
      <c r="A26" t="s">
        <v>8</v>
      </c>
      <c r="B26">
        <f>((2*F5)+(F4*(F9/8)*F5/4))/(F12/4)</f>
        <v>3078</v>
      </c>
      <c r="D26" t="s">
        <v>53</v>
      </c>
    </row>
    <row r="27" spans="1:9" x14ac:dyDescent="0.25">
      <c r="A27" t="s">
        <v>9</v>
      </c>
      <c r="B27" s="2">
        <f>(26+(((F12/4)+13)*B26))/F11</f>
        <v>797978</v>
      </c>
      <c r="D27" t="s">
        <v>48</v>
      </c>
    </row>
    <row r="28" spans="1:9" x14ac:dyDescent="0.25">
      <c r="A28" t="s">
        <v>49</v>
      </c>
      <c r="B28">
        <f>1/(B27/((B20)*(1-0.026)*1000000))+B21</f>
        <v>190.71645832811529</v>
      </c>
      <c r="D28" t="s">
        <v>51</v>
      </c>
    </row>
    <row r="30" spans="1:9" x14ac:dyDescent="0.25">
      <c r="A30" t="s">
        <v>29</v>
      </c>
      <c r="B30">
        <f>IF(F8=10,(14*B22)-0.000003,(9*B22)-0.000003)</f>
        <v>4.4600000000000007E-5</v>
      </c>
      <c r="D30" t="s">
        <v>30</v>
      </c>
    </row>
    <row r="33" spans="4:4" x14ac:dyDescent="0.25">
      <c r="D33">
        <f>MAX(6,2)</f>
        <v>6</v>
      </c>
    </row>
  </sheetData>
  <mergeCells count="1">
    <mergeCell ref="D6:D11"/>
  </mergeCells>
  <pageMargins left="0.7" right="0.7" top="0.75" bottom="0.75" header="0.3" footer="0.3"/>
  <pageSetup orientation="portrait" r:id="rId1"/>
  <customProperties>
    <customPr name="%startcell%" r:id="rId2"/>
  </customPropertie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Sheet2!$A$1:$A$2</xm:f>
          </x14:formula1>
          <xm:sqref>F6:F7</xm:sqref>
        </x14:dataValidation>
        <x14:dataValidation type="list" allowBlank="1" showInputMessage="1" showErrorMessage="1">
          <x14:formula1>
            <xm:f>Sheet2!$C$1:$C$2</xm:f>
          </x14:formula1>
          <xm:sqref>F8</xm:sqref>
        </x14:dataValidation>
        <x14:dataValidation type="list" allowBlank="1" showInputMessage="1" showErrorMessage="1">
          <x14:formula1>
            <xm:f>Sheet2!$E$1:$E$3</xm:f>
          </x14:formula1>
          <xm:sqref>F9</xm:sqref>
        </x14:dataValidation>
        <x14:dataValidation type="list" allowBlank="1" showInputMessage="1" showErrorMessage="1">
          <x14:formula1>
            <xm:f>Sheet2!$I$1:$I$2</xm:f>
          </x14:formula1>
          <xm:sqref>F10</xm:sqref>
        </x14:dataValidation>
        <x14:dataValidation type="list" allowBlank="1" showInputMessage="1" showErrorMessage="1">
          <x14:formula1>
            <xm:f>Sheet2!$G$1:$G$3</xm:f>
          </x14:formula1>
          <xm:sqref>F11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sqref="A1:A2"/>
    </sheetView>
  </sheetViews>
  <sheetFormatPr defaultRowHeight="15" x14ac:dyDescent="0.25"/>
  <sheetData>
    <row r="1" spans="1:9" x14ac:dyDescent="0.25">
      <c r="A1" s="17">
        <v>1</v>
      </c>
      <c r="C1">
        <v>10</v>
      </c>
      <c r="E1">
        <v>8</v>
      </c>
      <c r="G1">
        <v>1</v>
      </c>
      <c r="I1">
        <v>6</v>
      </c>
    </row>
    <row r="2" spans="1:9" x14ac:dyDescent="0.25">
      <c r="A2" s="17">
        <v>2</v>
      </c>
      <c r="C2">
        <v>12</v>
      </c>
      <c r="E2">
        <v>10</v>
      </c>
      <c r="G2">
        <v>2</v>
      </c>
      <c r="I2">
        <v>3</v>
      </c>
    </row>
    <row r="3" spans="1:9" x14ac:dyDescent="0.25">
      <c r="E3">
        <v>12</v>
      </c>
      <c r="G3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Dickerson</dc:creator>
  <cp:lastModifiedBy>Rich Dickerson</cp:lastModifiedBy>
  <dcterms:created xsi:type="dcterms:W3CDTF">2015-09-14T23:08:38Z</dcterms:created>
  <dcterms:modified xsi:type="dcterms:W3CDTF">2016-12-15T00:48:39Z</dcterms:modified>
</cp:coreProperties>
</file>