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GO-5100\"/>
    </mc:Choice>
  </mc:AlternateContent>
  <bookViews>
    <workbookView xWindow="9348" yWindow="-12" windowWidth="9312"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8" i="1" l="1"/>
  <c r="D7" i="1"/>
  <c r="D26" i="1" l="1"/>
  <c r="B56" i="1" l="1"/>
  <c r="D29" i="1"/>
  <c r="B16" i="1" l="1"/>
  <c r="B58" i="1" l="1"/>
  <c r="B15" i="1"/>
  <c r="D30" i="1" l="1"/>
  <c r="D25" i="1" s="1"/>
  <c r="D24" i="1" l="1"/>
  <c r="B59" i="1"/>
  <c r="D42" i="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1" i="1" s="1"/>
  <c r="B57" i="1" s="1"/>
  <c r="D36" i="1" l="1"/>
  <c r="D37" i="1" s="1"/>
  <c r="D34" i="1"/>
  <c r="D35" i="1" s="1"/>
  <c r="B18" i="1" s="1"/>
</calcChain>
</file>

<file path=xl/sharedStrings.xml><?xml version="1.0" encoding="utf-8"?>
<sst xmlns="http://schemas.openxmlformats.org/spreadsheetml/2006/main" count="58" uniqueCount="54">
  <si>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</si>
  <si>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</si>
  <si>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</si>
  <si>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</si>
  <si>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</si>
  <si>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</si>
  <si>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</si>
  <si>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</si>
  <si>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</si>
  <si>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</si>
  <si>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</si>
  <si>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</si>
  <si>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</si>
  <si>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</si>
  <si>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</si>
  <si>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V Blanking</t>
  </si>
  <si>
    <t>Network bandwidth</t>
  </si>
  <si>
    <t>BPP</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</si>
  <si>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</si>
  <si>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</si>
  <si>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</si>
  <si>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</si>
  <si>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</si>
  <si>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</si>
  <si>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</si>
  <si>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</si>
  <si>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</si>
  <si>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</si>
  <si>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</si>
  <si>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</si>
  <si>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</si>
  <si>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</si>
  <si>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</si>
  <si>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</si>
  <si>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</si>
  <si>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</si>
  <si>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</si>
  <si>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8-bit Bayer</t>
  </si>
  <si>
    <t>10-bit Bayer</t>
  </si>
  <si>
    <t>10-bit packed Bayer</t>
  </si>
  <si>
    <t>12-bit Bayer</t>
  </si>
  <si>
    <t>12-bit packed Bayer</t>
  </si>
  <si>
    <t>Binning</t>
  </si>
  <si>
    <t>Exposure min</t>
  </si>
  <si>
    <t>Exposure max</t>
  </si>
  <si>
    <t>SearchString</t>
  </si>
  <si>
    <t>Bayer</t>
  </si>
  <si>
    <t>Valid color height</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</si>
  <si>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</si>
  <si>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</si>
  <si>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</si>
  <si>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</si>
  <si>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GO-5100-PGE ROI Frame Rate Calculator</t>
  </si>
  <si>
    <t>Last updated: 2/14/2020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</si>
</sst>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10"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tabSelected="1" workbookViewId="0">
      <selection activeCell="A3" sqref="A3"/>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52</v>
      </c>
    </row>
    <row r="2" spans="1:11" x14ac:dyDescent="0.3">
      <c r="A2" s="2" t="s">
        <v>53</v>
      </c>
    </row>
    <row r="4" spans="1:11" ht="15.6" x14ac:dyDescent="0.3">
      <c r="A4" s="3" t="s">
        <v>0</v>
      </c>
      <c r="B4" s="4" t="s">
        <v>50</v>
      </c>
    </row>
    <row r="5" spans="1:11" x14ac:dyDescent="0.3">
      <c r="A5" t="s">
        <v>1</v>
      </c>
      <c r="B5" s="19">
        <v>2464</v>
      </c>
      <c r="D5" s="5"/>
    </row>
    <row r="6" spans="1:11" x14ac:dyDescent="0.3">
      <c r="A6" t="s">
        <v>2</v>
      </c>
      <c r="B6" s="19">
        <v>2056</v>
      </c>
      <c r="D6" s="5"/>
    </row>
    <row r="7" spans="1:11" x14ac:dyDescent="0.3">
      <c r="A7" t="s">
        <v>3</v>
      </c>
      <c r="B7" s="19">
        <v>1</v>
      </c>
      <c r="D7" s="21" t="str">
        <f>IF(AND(OR(B9=A47, B9=A49),B7=A54),"ERROR! Horizontal binning is not supported for 12-bit formats", IF(AND(OR(B9=A42, B9=A44, B9=A46, B9=A48, B9=A50),B7=A54),"ERROR! Binning not supported for Bayer formats", ""))</f>
        <v/>
      </c>
    </row>
    <row r="8" spans="1:11" x14ac:dyDescent="0.3">
      <c r="A8" t="s">
        <v>4</v>
      </c>
      <c r="B8" s="19">
        <v>1</v>
      </c>
      <c r="D8" s="21" t="str">
        <f>IF(AND(OR(B9=A47, B9=A49),B8=A54),"ERROR! Vertical binning is not supported for 12-bit formats", IF(AND(OR(B9=A42, B9=A44, B9=A46, B9=A48, B9=A50),B8=A54),"ERROR! Binning not supported for Bayer formats", ""))</f>
        <v/>
      </c>
    </row>
    <row r="9" spans="1:11" x14ac:dyDescent="0.3">
      <c r="A9" t="s">
        <v>5</v>
      </c>
      <c r="B9" s="20" t="s">
        <v>32</v>
      </c>
    </row>
    <row r="10" spans="1:11" x14ac:dyDescent="0.3">
      <c r="A10" t="s">
        <v>6</v>
      </c>
      <c r="B10" s="20" t="s">
        <v>30</v>
      </c>
    </row>
    <row r="11" spans="1:11" x14ac:dyDescent="0.3">
      <c r="A11" t="s">
        <v>7</v>
      </c>
      <c r="B11" s="20" t="s">
        <v>31</v>
      </c>
    </row>
    <row r="12" spans="1:11" x14ac:dyDescent="0.3">
      <c r="A12" t="s">
        <v>28</v>
      </c>
      <c r="B12" s="19">
        <v>14</v>
      </c>
      <c r="D12" s="5"/>
    </row>
    <row r="15" spans="1:11" x14ac:dyDescent="0.3">
      <c r="A15" t="s">
        <v>9</v>
      </c>
      <c r="B15" s="12">
        <f>B5/B7</f>
        <v>2464</v>
      </c>
    </row>
    <row r="16" spans="1:11" x14ac:dyDescent="0.3">
      <c r="A16" t="s">
        <v>10</v>
      </c>
      <c r="B16" s="12">
        <f>ROUNDDOWN(B6/B8,0)</f>
        <v>2056</v>
      </c>
      <c r="K16" s="18"/>
    </row>
    <row r="17" spans="1:10" ht="15" thickBot="1" x14ac:dyDescent="0.35"/>
    <row r="18" spans="1:10" ht="18.600000000000001" thickBot="1" x14ac:dyDescent="0.4">
      <c r="A18" s="14" t="s">
        <v>8</v>
      </c>
      <c r="B18" s="16">
        <f>IF(AND(B10="On",B11="Off"),1/((1/D38)+D37),1/((1/D38)+D35))</f>
        <v>22.7</v>
      </c>
      <c r="D18" s="4" t="s">
        <v>51</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1/((B16+D27)*D26)</f>
        <v>35.566885863549615</v>
      </c>
    </row>
    <row r="25" spans="1:10" x14ac:dyDescent="0.3">
      <c r="A25" s="7" t="s">
        <v>13</v>
      </c>
      <c r="B25" s="7"/>
      <c r="C25" s="7"/>
      <c r="D25" s="13">
        <f>ROUNDDOWN((D28)/D30,2)</f>
        <v>22.7</v>
      </c>
    </row>
    <row r="26" spans="1:10" x14ac:dyDescent="0.3">
      <c r="A26" s="7" t="s">
        <v>14</v>
      </c>
      <c r="B26" s="7"/>
      <c r="C26" s="7"/>
      <c r="D26" s="7">
        <f>IF(OR(B9="8-bit mono",B9="8-bit Bayer"),1/74548.19277,1/37960.12)</f>
        <v>1.341414141433653E-5</v>
      </c>
    </row>
    <row r="27" spans="1:10" x14ac:dyDescent="0.3">
      <c r="A27" s="7" t="s">
        <v>15</v>
      </c>
      <c r="B27" s="7"/>
      <c r="C27" s="7"/>
      <c r="D27" s="7">
        <v>40</v>
      </c>
    </row>
    <row r="28" spans="1:10" x14ac:dyDescent="0.3">
      <c r="A28" s="7" t="s">
        <v>16</v>
      </c>
      <c r="B28" s="7"/>
      <c r="C28" s="7"/>
      <c r="D28" s="7">
        <v>920000000</v>
      </c>
    </row>
    <row r="29" spans="1:10" x14ac:dyDescent="0.3">
      <c r="A29" s="7" t="s">
        <v>17</v>
      </c>
      <c r="B29" s="7"/>
      <c r="C29" s="7"/>
      <c r="D29" s="7">
        <f>IF(OR(B9="8-bit mono",B9="8-bit Bayer"),8,IF(OR(B9="10-bit packed mono",B9="10-bit packed Bayer", B9="12-bit packed mono",B9="12-bit packed Bayer"),12,16))</f>
        <v>8</v>
      </c>
    </row>
    <row r="30" spans="1:10" x14ac:dyDescent="0.3">
      <c r="A30" s="7" t="s">
        <v>18</v>
      </c>
      <c r="B30" s="7"/>
      <c r="C30" s="7"/>
      <c r="D30" s="7">
        <f>B15*B16*D29</f>
        <v>40527872</v>
      </c>
    </row>
    <row r="31" spans="1:10" x14ac:dyDescent="0.3">
      <c r="A31" s="7" t="s">
        <v>49</v>
      </c>
      <c r="B31" s="7"/>
      <c r="C31" s="7"/>
      <c r="D31" s="15">
        <f>INT((1/D38 - (14*D26))*1000000)</f>
        <v>43865</v>
      </c>
    </row>
    <row r="32" spans="1:10" x14ac:dyDescent="0.3">
      <c r="A32" s="7"/>
      <c r="B32" s="7"/>
      <c r="C32" s="7"/>
      <c r="D32" s="7"/>
    </row>
    <row r="33" spans="1:4" x14ac:dyDescent="0.3">
      <c r="A33" s="8" t="s">
        <v>19</v>
      </c>
      <c r="B33" s="7"/>
      <c r="C33" s="7"/>
      <c r="D33" s="7"/>
    </row>
    <row r="34" spans="1:4" x14ac:dyDescent="0.3">
      <c r="A34" s="7" t="s">
        <v>20</v>
      </c>
      <c r="B34" s="7"/>
      <c r="C34" s="7"/>
      <c r="D34" s="7">
        <f>(1/D38)-(14*D26)</f>
        <v>4.3865065456322641E-2</v>
      </c>
    </row>
    <row r="35" spans="1:4" x14ac:dyDescent="0.3">
      <c r="A35" s="7" t="s">
        <v>21</v>
      </c>
      <c r="B35" s="7"/>
      <c r="C35" s="7"/>
      <c r="D35" s="7">
        <f>IF((B12/1000000)-D34&lt;0,0,(B12/1000000)-D34)</f>
        <v>0</v>
      </c>
    </row>
    <row r="36" spans="1:4" x14ac:dyDescent="0.3">
      <c r="A36" s="7" t="s">
        <v>22</v>
      </c>
      <c r="B36" s="7"/>
      <c r="C36" s="7"/>
      <c r="D36" s="7">
        <f>(1/D38)-(1/D24)</f>
        <v>1.5936823031673982E-2</v>
      </c>
    </row>
    <row r="37" spans="1:4" x14ac:dyDescent="0.3">
      <c r="A37" s="7" t="s">
        <v>23</v>
      </c>
      <c r="B37" s="7"/>
      <c r="C37" s="7"/>
      <c r="D37" s="7">
        <f>IF((B12/1000000)-D36&lt;0,0,(B12/1000000)-D36)</f>
        <v>0</v>
      </c>
    </row>
    <row r="38" spans="1:4" x14ac:dyDescent="0.3">
      <c r="A38" s="7" t="s">
        <v>24</v>
      </c>
      <c r="B38" s="7"/>
      <c r="C38" s="7"/>
      <c r="D38" s="17">
        <f>IF(D24&gt;D25,D25,D24)</f>
        <v>22.7</v>
      </c>
    </row>
    <row r="39" spans="1:4" x14ac:dyDescent="0.3">
      <c r="A39" s="7"/>
      <c r="B39" s="7"/>
      <c r="C39" s="7"/>
      <c r="D39" s="7"/>
    </row>
    <row r="40" spans="1:4" x14ac:dyDescent="0.3">
      <c r="A40" s="7" t="s">
        <v>25</v>
      </c>
      <c r="B40" s="7" t="s">
        <v>26</v>
      </c>
      <c r="C40" s="7"/>
      <c r="D40" s="7" t="s">
        <v>27</v>
      </c>
    </row>
    <row r="41" spans="1:4" x14ac:dyDescent="0.3">
      <c r="A41" s="9" t="s">
        <v>32</v>
      </c>
      <c r="B41" s="7" t="s">
        <v>29</v>
      </c>
      <c r="C41" s="7"/>
      <c r="D41" s="10">
        <v>2464</v>
      </c>
    </row>
    <row r="42" spans="1:4" x14ac:dyDescent="0.3">
      <c r="A42" s="9" t="s">
        <v>37</v>
      </c>
      <c r="B42" s="7" t="s">
        <v>30</v>
      </c>
      <c r="C42" s="7"/>
      <c r="D42" s="10">
        <f>D41-16</f>
        <v>2448</v>
      </c>
    </row>
    <row r="43" spans="1:4" x14ac:dyDescent="0.3">
      <c r="A43" s="9" t="s">
        <v>34</v>
      </c>
      <c r="B43" s="7" t="s">
        <v>31</v>
      </c>
      <c r="C43" s="7"/>
      <c r="D43" s="10">
        <f t="shared" ref="D43:D106" si="0">D42-16</f>
        <v>2432</v>
      </c>
    </row>
    <row r="44" spans="1:4" x14ac:dyDescent="0.3">
      <c r="A44" s="9" t="s">
        <v>39</v>
      </c>
      <c r="B44" s="7" t="s">
        <v>30</v>
      </c>
      <c r="C44" s="7"/>
      <c r="D44" s="10">
        <f t="shared" si="0"/>
        <v>2416</v>
      </c>
    </row>
    <row r="45" spans="1:4" x14ac:dyDescent="0.3">
      <c r="A45" s="9" t="s">
        <v>33</v>
      </c>
      <c r="B45" s="7"/>
      <c r="C45" s="7"/>
      <c r="D45" s="10">
        <f t="shared" si="0"/>
        <v>2400</v>
      </c>
    </row>
    <row r="46" spans="1:4" x14ac:dyDescent="0.3">
      <c r="A46" s="9" t="s">
        <v>38</v>
      </c>
      <c r="B46" s="7"/>
      <c r="C46" s="7"/>
      <c r="D46" s="10">
        <f t="shared" si="0"/>
        <v>2384</v>
      </c>
    </row>
    <row r="47" spans="1:4" x14ac:dyDescent="0.3">
      <c r="A47" s="9" t="s">
        <v>36</v>
      </c>
      <c r="B47" s="7"/>
      <c r="C47" s="7"/>
      <c r="D47" s="10">
        <f t="shared" si="0"/>
        <v>2368</v>
      </c>
    </row>
    <row r="48" spans="1:4" x14ac:dyDescent="0.3">
      <c r="A48" s="9" t="s">
        <v>41</v>
      </c>
      <c r="B48" s="7"/>
      <c r="C48" s="7"/>
      <c r="D48" s="10">
        <f t="shared" si="0"/>
        <v>2352</v>
      </c>
    </row>
    <row r="49" spans="1:4" x14ac:dyDescent="0.3">
      <c r="A49" s="9" t="s">
        <v>35</v>
      </c>
      <c r="B49" s="7"/>
      <c r="C49" s="7"/>
      <c r="D49" s="10">
        <f t="shared" si="0"/>
        <v>2336</v>
      </c>
    </row>
    <row r="50" spans="1:4" x14ac:dyDescent="0.3">
      <c r="A50" s="9" t="s">
        <v>40</v>
      </c>
      <c r="B50" s="7"/>
      <c r="C50" s="7"/>
      <c r="D50" s="10">
        <f t="shared" si="0"/>
        <v>2320</v>
      </c>
    </row>
    <row r="51" spans="1:4" x14ac:dyDescent="0.3">
      <c r="A51" s="7"/>
      <c r="B51" s="7"/>
      <c r="C51" s="7"/>
      <c r="D51" s="10">
        <f t="shared" si="0"/>
        <v>2304</v>
      </c>
    </row>
    <row r="52" spans="1:4" x14ac:dyDescent="0.3">
      <c r="A52" s="11" t="s">
        <v>42</v>
      </c>
      <c r="B52" s="7"/>
      <c r="C52" s="7"/>
      <c r="D52" s="10">
        <f t="shared" si="0"/>
        <v>2288</v>
      </c>
    </row>
    <row r="53" spans="1:4" x14ac:dyDescent="0.3">
      <c r="A53" s="7">
        <v>1</v>
      </c>
      <c r="B53" s="7"/>
      <c r="C53" s="7"/>
      <c r="D53" s="10">
        <f t="shared" si="0"/>
        <v>2272</v>
      </c>
    </row>
    <row r="54" spans="1:4" x14ac:dyDescent="0.3">
      <c r="A54" s="7">
        <v>2</v>
      </c>
      <c r="B54" s="7"/>
      <c r="C54" s="7"/>
      <c r="D54" s="10">
        <f t="shared" si="0"/>
        <v>2256</v>
      </c>
    </row>
    <row r="55" spans="1:4" x14ac:dyDescent="0.3">
      <c r="A55" s="7"/>
      <c r="B55" s="7"/>
      <c r="C55" s="7"/>
      <c r="D55" s="10">
        <f t="shared" si="0"/>
        <v>2240</v>
      </c>
    </row>
    <row r="56" spans="1:4" x14ac:dyDescent="0.3">
      <c r="A56" s="7" t="s">
        <v>43</v>
      </c>
      <c r="B56" s="7">
        <f>IF(OR(B9="8-bit mono",B9="8-bit Bayer"),14,27)</f>
        <v>14</v>
      </c>
      <c r="C56" s="7"/>
      <c r="D56" s="10">
        <f t="shared" si="0"/>
        <v>2224</v>
      </c>
    </row>
    <row r="57" spans="1:4" x14ac:dyDescent="0.3">
      <c r="A57" s="7" t="s">
        <v>44</v>
      </c>
      <c r="B57" s="7">
        <f>IF(B10="Off",D31,IF(OR(B9="8-bit mono",B9="8-bit Bayer"),7999812, 7999631))</f>
        <v>43865</v>
      </c>
      <c r="C57" s="7"/>
      <c r="D57" s="10">
        <f t="shared" si="0"/>
        <v>2208</v>
      </c>
    </row>
    <row r="58" spans="1:4" x14ac:dyDescent="0.3">
      <c r="A58" s="7" t="s">
        <v>48</v>
      </c>
      <c r="B58" s="7">
        <f>IF(AND(B6&gt;0,B6&lt;2057),1,0)</f>
        <v>1</v>
      </c>
      <c r="C58" s="7"/>
      <c r="D58" s="10">
        <f t="shared" si="0"/>
        <v>2192</v>
      </c>
    </row>
    <row r="59" spans="1:4" x14ac:dyDescent="0.3">
      <c r="A59" s="7" t="s">
        <v>47</v>
      </c>
      <c r="B59" s="7">
        <f>IF(AND(ISNUMBER(SEARCH(B60,B9)),MOD(B6,2)&gt;0),0,1)</f>
        <v>1</v>
      </c>
      <c r="C59" s="7"/>
      <c r="D59" s="10">
        <f t="shared" si="0"/>
        <v>2176</v>
      </c>
    </row>
    <row r="60" spans="1:4" x14ac:dyDescent="0.3">
      <c r="A60" s="7" t="s">
        <v>45</v>
      </c>
      <c r="B60" s="7" t="s">
        <v>46</v>
      </c>
      <c r="C60" s="7"/>
      <c r="D60" s="10">
        <f t="shared" si="0"/>
        <v>2160</v>
      </c>
    </row>
    <row r="61" spans="1:4" x14ac:dyDescent="0.3">
      <c r="A61" s="7"/>
      <c r="B61" s="7"/>
      <c r="C61" s="7"/>
      <c r="D61" s="10">
        <f t="shared" si="0"/>
        <v>2144</v>
      </c>
    </row>
    <row r="62" spans="1:4" x14ac:dyDescent="0.3">
      <c r="A62" s="7"/>
      <c r="B62" s="7"/>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A190" s="7"/>
      <c r="B190" s="7"/>
      <c r="C190" s="7"/>
      <c r="D190" s="10">
        <v>80</v>
      </c>
    </row>
    <row r="191" spans="1:4" x14ac:dyDescent="0.3">
      <c r="A191" s="7"/>
      <c r="B191" s="7"/>
      <c r="C191" s="7"/>
      <c r="D191" s="10">
        <v>64</v>
      </c>
    </row>
    <row r="192" spans="1:4" x14ac:dyDescent="0.3">
      <c r="A192" s="7"/>
      <c r="B192" s="7"/>
      <c r="C192" s="7"/>
      <c r="D192" s="10">
        <v>48</v>
      </c>
    </row>
    <row r="193" spans="1:4" x14ac:dyDescent="0.3">
      <c r="A193" s="7"/>
      <c r="B193" s="7"/>
      <c r="C193" s="7"/>
      <c r="D193" s="10">
        <v>32</v>
      </c>
    </row>
    <row r="194" spans="1:4" x14ac:dyDescent="0.3">
      <c r="A194" s="7"/>
      <c r="B194" s="7"/>
      <c r="C194" s="7"/>
      <c r="D194" s="10">
        <v>16</v>
      </c>
    </row>
  </sheetData>
  <sheetProtection sheet="1" objects="1" scenarios="1"/>
  <dataValidations xWindow="391" yWindow="523" count="8">
    <dataValidation type="list" allowBlank="1" showInputMessage="1" showErrorMessage="1" prompt="Enter ROI width on sensor before binning is applied. See &quot;output width&quot; for effect of horizontal binning. Allowed values are 16 to 2464 in increments of 16 pixels. Use drop down list to select valid values." sqref="B5">
      <formula1>$D$41:$D$194</formula1>
    </dataValidation>
    <dataValidation type="list" allowBlank="1" showInputMessage="1" showErrorMessage="1" sqref="B9">
      <formula1>$A$41:$A$50</formula1>
    </dataValidation>
    <dataValidation type="list" allowBlank="1" showInputMessage="1" showErrorMessage="1" prompt="Monochrome pixel formats only" sqref="B8">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4 in 8-bit mode. Minimum of 27 in 10/12-bit modes. Maximum exposure is 7999812 when Trigger Mode is on. With Trigger Mode off, long exposure times require a reduced frame rate." sqref="B12">
      <formula1>B56</formula1>
      <formula2>B57</formula2>
    </dataValidation>
    <dataValidation type="custom" allowBlank="1" showInputMessage="1" showErrorMessage="1" errorTitle="Height not valid" error="Max. height is 2056. Must be even number of lines for color ROI" prompt="Enter ROI height on sensor, before binning is applied. See &quot;output height&quot; for effect of vertical binning. Allowed values are up to 2056 lines. Must be in increments of 2 for color pixel formats.  " sqref="B6">
      <formula1>IF(AND(B58=1,B59=1),TRUE,FALSE)</formula1>
    </dataValidation>
    <dataValidation type="list" allowBlank="1" showInputMessage="1" showErrorMessage="1" prompt="Monochrome pixel formats only" sqref="B7">
      <formula1>$A$53:$A$54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2020-02-15T01:41:30Z</dcterms:modified>
</cp:coreProperties>
</file>